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<sst xmlns="http://schemas.openxmlformats.org/spreadsheetml/2006/main" count="2986" uniqueCount="2074">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</sst>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Симеоновград</v>
      </c>
      <c r="C2" s="1726"/>
      <c r="D2" s="1727"/>
      <c r="E2" s="1019"/>
      <c r="F2" s="1020">
        <f>+OTCHET!H9</f>
        <v>0</v>
      </c>
      <c r="G2" s="1021" t="str">
        <f>+OTCHET!F12</f>
        <v>7607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998</v>
      </c>
      <c r="O6" s="1008"/>
      <c r="P6" s="1045">
        <f>OTCHET!F9</f>
        <v>43524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903638</v>
      </c>
      <c r="J51" s="1102">
        <f>+IF(OR($P$2=98,$P$2=42,$P$2=96,$P$2=97),$Q51,0)</f>
        <v>133764</v>
      </c>
      <c r="K51" s="1095"/>
      <c r="L51" s="1102">
        <f>+IF($P$2=33,$Q51,0)</f>
        <v>0</v>
      </c>
      <c r="M51" s="1095"/>
      <c r="N51" s="1132">
        <f>+ROUND(+G51+J51+L51,0)</f>
        <v>133764</v>
      </c>
      <c r="O51" s="1097"/>
      <c r="P51" s="1101">
        <f>+ROUND(OTCHET!E205-SUM(OTCHET!E217:E219)+OTCHET!E271+IF(+OR(OTCHET!$F$12=5500,OTCHET!$F$12=5600),0,+OTCHET!E297),0)</f>
        <v>903638</v>
      </c>
      <c r="Q51" s="1102">
        <f>+ROUND(OTCHET!L205-SUM(OTCHET!L217:L219)+OTCHET!L271+IF(+OR(OTCHET!$F$12=5500,OTCHET!$F$12=5600),0,+OTCHET!L297),0)</f>
        <v>133764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59115</v>
      </c>
      <c r="J54" s="1120">
        <f>+IF(OR($P$2=98,$P$2=42,$P$2=96,$P$2=97),$Q54,0)</f>
        <v>28152</v>
      </c>
      <c r="K54" s="1095"/>
      <c r="L54" s="1120">
        <f>+IF($P$2=33,$Q54,0)</f>
        <v>0</v>
      </c>
      <c r="M54" s="1095"/>
      <c r="N54" s="1121">
        <f>+ROUND(+G54+J54+L54,0)</f>
        <v>28152</v>
      </c>
      <c r="O54" s="1097"/>
      <c r="P54" s="1119">
        <f>+ROUND(OTCHET!E187+OTCHET!E190,0)</f>
        <v>59115</v>
      </c>
      <c r="Q54" s="1120">
        <f>+ROUND(OTCHET!L187+OTCHET!L190,0)</f>
        <v>28152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9905</v>
      </c>
      <c r="J55" s="1120">
        <f>+IF(OR($P$2=98,$P$2=42,$P$2=96,$P$2=97),$Q55,0)</f>
        <v>4006</v>
      </c>
      <c r="K55" s="1095"/>
      <c r="L55" s="1120">
        <f>+IF($P$2=33,$Q55,0)</f>
        <v>0</v>
      </c>
      <c r="M55" s="1095"/>
      <c r="N55" s="1121">
        <f>+ROUND(+G55+J55+L55,0)</f>
        <v>4006</v>
      </c>
      <c r="O55" s="1097"/>
      <c r="P55" s="1119">
        <f>+ROUND(OTCHET!E196+OTCHET!E204,0)</f>
        <v>9905</v>
      </c>
      <c r="Q55" s="1120">
        <f>+ROUND(OTCHET!L196+OTCHET!L204,0)</f>
        <v>4006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972658</v>
      </c>
      <c r="J56" s="1208">
        <f>+ROUND(+SUM(J51:J55),0)</f>
        <v>165922</v>
      </c>
      <c r="K56" s="1095"/>
      <c r="L56" s="1208">
        <f>+ROUND(+SUM(L51:L55),0)</f>
        <v>0</v>
      </c>
      <c r="M56" s="1095"/>
      <c r="N56" s="1209">
        <f>+ROUND(+SUM(N51:N55),0)</f>
        <v>165922</v>
      </c>
      <c r="O56" s="1097"/>
      <c r="P56" s="1207">
        <f>+ROUND(+SUM(P51:P55),0)</f>
        <v>972658</v>
      </c>
      <c r="Q56" s="1208">
        <f>+ROUND(+SUM(Q51:Q55),0)</f>
        <v>165922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972658</v>
      </c>
      <c r="J77" s="1233">
        <f>+ROUND(J56+J63+J67+J71+J75,0)</f>
        <v>165922</v>
      </c>
      <c r="K77" s="1095"/>
      <c r="L77" s="1233">
        <f>+ROUND(L56+L63+L67+L71+L75,0)</f>
        <v>0</v>
      </c>
      <c r="M77" s="1095"/>
      <c r="N77" s="1234">
        <f>+ROUND(N56+N63+N67+N71+N75,0)</f>
        <v>165922</v>
      </c>
      <c r="O77" s="1097"/>
      <c r="P77" s="1231">
        <f>+ROUND(P56+P63+P67+P71+P75,0)</f>
        <v>972658</v>
      </c>
      <c r="Q77" s="1232">
        <f>+ROUND(Q56+Q63+Q67+Q71+Q75,0)</f>
        <v>165922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561167</v>
      </c>
      <c r="J79" s="1108">
        <f>+IF(OR($P$2=98,$P$2=42,$P$2=96,$P$2=97),$Q79,0)</f>
        <v>103523</v>
      </c>
      <c r="K79" s="1095"/>
      <c r="L79" s="1108">
        <f>+IF($P$2=33,$Q79,0)</f>
        <v>0</v>
      </c>
      <c r="M79" s="1095"/>
      <c r="N79" s="1109">
        <f>+ROUND(+G79+J79+L79,0)</f>
        <v>103523</v>
      </c>
      <c r="O79" s="1097"/>
      <c r="P79" s="1107">
        <f>+ROUND(OTCHET!E419,0)</f>
        <v>561167</v>
      </c>
      <c r="Q79" s="1108">
        <f>+ROUND(OTCHET!L419,0)</f>
        <v>103523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-78945</v>
      </c>
      <c r="K80" s="1095"/>
      <c r="L80" s="1120">
        <f>+IF($P$2=33,$Q80,0)</f>
        <v>0</v>
      </c>
      <c r="M80" s="1095"/>
      <c r="N80" s="1121">
        <f>+ROUND(+G80+J80+L80,0)</f>
        <v>-78945</v>
      </c>
      <c r="O80" s="1097"/>
      <c r="P80" s="1119">
        <f>+ROUND(OTCHET!E429,0)</f>
        <v>0</v>
      </c>
      <c r="Q80" s="1120">
        <f>+ROUND(OTCHET!L429,0)</f>
        <v>-78945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561167</v>
      </c>
      <c r="J81" s="1242">
        <f>+ROUND(J79+J80,0)</f>
        <v>24578</v>
      </c>
      <c r="K81" s="1095"/>
      <c r="L81" s="1242">
        <f>+ROUND(L79+L80,0)</f>
        <v>0</v>
      </c>
      <c r="M81" s="1095"/>
      <c r="N81" s="1243">
        <f>+ROUND(N79+N80,0)</f>
        <v>24578</v>
      </c>
      <c r="O81" s="1097"/>
      <c r="P81" s="1241">
        <f>+ROUND(P79+P80,0)</f>
        <v>561167</v>
      </c>
      <c r="Q81" s="1242">
        <f>+ROUND(Q79+Q80,0)</f>
        <v>24578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-411491</v>
      </c>
      <c r="J83" s="1255">
        <f>+ROUND(J48,0)-ROUND(J77,0)+ROUND(J81,0)</f>
        <v>-141344</v>
      </c>
      <c r="K83" s="1095"/>
      <c r="L83" s="1255">
        <f>+ROUND(L48,0)-ROUND(L77,0)+ROUND(L81,0)</f>
        <v>0</v>
      </c>
      <c r="M83" s="1095"/>
      <c r="N83" s="1256">
        <f>+ROUND(N48,0)-ROUND(N77,0)+ROUND(N81,0)</f>
        <v>-141344</v>
      </c>
      <c r="O83" s="1257"/>
      <c r="P83" s="1254">
        <f>+ROUND(P48,0)-ROUND(P77,0)+ROUND(P81,0)</f>
        <v>-411491</v>
      </c>
      <c r="Q83" s="1255">
        <f>+ROUND(Q48,0)-ROUND(Q77,0)+ROUND(Q81,0)</f>
        <v>-141344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411491</v>
      </c>
      <c r="J84" s="1263">
        <f>+ROUND(J101,0)+ROUND(J120,0)+ROUND(J127,0)-ROUND(J132,0)</f>
        <v>141344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141344</v>
      </c>
      <c r="O84" s="1257"/>
      <c r="P84" s="1262">
        <f>+ROUND(P101,0)+ROUND(P120,0)+ROUND(P127,0)-ROUND(P132,0)</f>
        <v>411491</v>
      </c>
      <c r="Q84" s="1263">
        <f>+ROUND(Q101,0)+ROUND(Q120,0)+ROUND(Q127,0)-ROUND(Q132,0)</f>
        <v>141344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411491</v>
      </c>
      <c r="J129" s="1108">
        <f>+IF(OR($P$2=98,$P$2=42,$P$2=96,$P$2=97),$Q129,0)</f>
        <v>411491</v>
      </c>
      <c r="K129" s="1095"/>
      <c r="L129" s="1108">
        <f>+IF($P$2=33,$Q129,0)</f>
        <v>0</v>
      </c>
      <c r="M129" s="1095"/>
      <c r="N129" s="1109">
        <f>+ROUND(+G129+J129+L129,0)</f>
        <v>411491</v>
      </c>
      <c r="O129" s="1097"/>
      <c r="P129" s="1107">
        <f>+ROUND(+SUM(OTCHET!E567:E572)+SUM(OTCHET!E581:E582)+IF(AND(OTCHET!$F$12=9900,+OTCHET!$E$15=0),0,SUM(OTCHET!E587:E588)),0)</f>
        <v>411491</v>
      </c>
      <c r="Q129" s="1108">
        <f>+ROUND(+SUM(OTCHET!L567:L572)+SUM(OTCHET!L581:L582)+IF(AND(OTCHET!$F$12=9900,+OTCHET!$E$15=0),0,SUM(OTCHET!L587:L588)),0)</f>
        <v>411491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270147</v>
      </c>
      <c r="K131" s="1095"/>
      <c r="L131" s="1120">
        <f>+IF($P$2=33,$Q131,0)</f>
        <v>0</v>
      </c>
      <c r="M131" s="1095"/>
      <c r="N131" s="1121">
        <f>+ROUND(+G131+J131+L131,0)</f>
        <v>270147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270147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-411491</v>
      </c>
      <c r="J132" s="1295">
        <f>+ROUND(+J131-J129-J130,0)</f>
        <v>-141344</v>
      </c>
      <c r="K132" s="1095"/>
      <c r="L132" s="1295">
        <f>+ROUND(+L131-L129-L130,0)</f>
        <v>0</v>
      </c>
      <c r="M132" s="1095"/>
      <c r="N132" s="1296">
        <f>+ROUND(+N131-N129-N130,0)</f>
        <v>-141344</v>
      </c>
      <c r="O132" s="1097"/>
      <c r="P132" s="1294">
        <f>+ROUND(+P131-P129-P130,0)</f>
        <v>-411491</v>
      </c>
      <c r="Q132" s="1295">
        <f>+ROUND(+Q131-Q129-Q130,0)</f>
        <v>-141344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970</v>
      </c>
      <c r="F11" s="707">
        <f>OTCHET!F9</f>
        <v>43524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2063</v>
      </c>
      <c r="F17" s="1741" t="s">
        <v>2064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972658</v>
      </c>
      <c r="F38" s="847">
        <f>F39+F43+F44+F46+SUM(F48:F52)+F55</f>
        <v>165922</v>
      </c>
      <c r="G38" s="848">
        <f>G39+G43+G44+G46+SUM(G48:G52)+G55</f>
        <v>24578</v>
      </c>
      <c r="H38" s="849">
        <f>H39+H43+H44+H46+SUM(H48:H52)+H55</f>
        <v>141344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69020</v>
      </c>
      <c r="F39" s="810">
        <f>SUM(F40:F42)</f>
        <v>32158</v>
      </c>
      <c r="G39" s="811">
        <f>SUM(G40:G42)</f>
        <v>24578</v>
      </c>
      <c r="H39" s="812">
        <f>SUM(H40:H42)</f>
        <v>7580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59115</v>
      </c>
      <c r="F41" s="1634">
        <f t="shared" si="1"/>
        <v>28152</v>
      </c>
      <c r="G41" s="1635">
        <f>OTCHET!I190</f>
        <v>20572</v>
      </c>
      <c r="H41" s="1636">
        <f>OTCHET!J190</f>
        <v>7580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9905</v>
      </c>
      <c r="F42" s="1634">
        <f t="shared" si="1"/>
        <v>4006</v>
      </c>
      <c r="G42" s="1635">
        <f>+OTCHET!I196+OTCHET!I204</f>
        <v>4006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903638</v>
      </c>
      <c r="F43" s="815">
        <f t="shared" si="1"/>
        <v>133764</v>
      </c>
      <c r="G43" s="816">
        <f>+OTCHET!I205+OTCHET!I223+OTCHET!I271</f>
        <v>0</v>
      </c>
      <c r="H43" s="817">
        <f>+OTCHET!J205+OTCHET!J223+OTCHET!J271</f>
        <v>133764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561167</v>
      </c>
      <c r="F56" s="892">
        <f>+F57+F58+F62</f>
        <v>24578</v>
      </c>
      <c r="G56" s="893">
        <f>+G57+G58+G62</f>
        <v>24578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561167</v>
      </c>
      <c r="F58" s="901">
        <f t="shared" si="2"/>
        <v>24578</v>
      </c>
      <c r="G58" s="902">
        <f>+OTCHET!I383+OTCHET!I391+OTCHET!I396+OTCHET!I399+OTCHET!I402+OTCHET!I405+OTCHET!I406+OTCHET!I409+OTCHET!I422+OTCHET!I423+OTCHET!I424+OTCHET!I425+OTCHET!I426</f>
        <v>24578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-78945</v>
      </c>
      <c r="G59" s="906">
        <f>+OTCHET!I422+OTCHET!I423+OTCHET!I424+OTCHET!I425+OTCHET!I426</f>
        <v>12801</v>
      </c>
      <c r="H59" s="907">
        <f>+OTCHET!J422+OTCHET!J423+OTCHET!J424+OTCHET!J425+OTCHET!J426</f>
        <v>-91746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-411491</v>
      </c>
      <c r="F64" s="927">
        <f>+F22-F38+F56-F63</f>
        <v>-141344</v>
      </c>
      <c r="G64" s="928">
        <f>+G22-G38+G56-G63</f>
        <v>0</v>
      </c>
      <c r="H64" s="929">
        <f>+H22-H38+H56-H63</f>
        <v>-141344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411491</v>
      </c>
      <c r="F66" s="937">
        <f>SUM(+F68+F76+F77+F84+F85+F86+F89+F90+F91+F92+F93+F94+F95)</f>
        <v>141344</v>
      </c>
      <c r="G66" s="938">
        <f>SUM(+G68+G76+G77+G84+G85+G86+G89+G90+G91+G92+G93+G94+G95)</f>
        <v>0</v>
      </c>
      <c r="H66" s="939">
        <f>SUM(+H68+H76+H77+H84+H85+H86+H89+H90+H91+H92+H93+H94+H95)</f>
        <v>141344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411491</v>
      </c>
      <c r="F90" s="901">
        <f t="shared" si="5"/>
        <v>411491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411491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-270147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-270147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1960</v>
      </c>
      <c r="C9" s="1822"/>
      <c r="D9" s="1823"/>
      <c r="E9" s="115">
        <v>43466</v>
      </c>
      <c r="F9" s="116">
        <v>43524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февруари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Симеоновград</v>
      </c>
      <c r="C12" s="1784"/>
      <c r="D12" s="1785"/>
      <c r="E12" s="118" t="s">
        <v>963</v>
      </c>
      <c r="F12" s="1586" t="s">
        <v>1626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2053</v>
      </c>
      <c r="F19" s="1825"/>
      <c r="G19" s="1825"/>
      <c r="H19" s="1826"/>
      <c r="I19" s="1830" t="s">
        <v>2054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Симеоновград</v>
      </c>
      <c r="C176" s="1781"/>
      <c r="D176" s="1782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Симеоновград</v>
      </c>
      <c r="C179" s="1784"/>
      <c r="D179" s="1785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2055</v>
      </c>
      <c r="F183" s="1825"/>
      <c r="G183" s="1825"/>
      <c r="H183" s="1826"/>
      <c r="I183" s="1833" t="s">
        <v>2056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59115</v>
      </c>
      <c r="F190" s="274">
        <f t="shared" si="44"/>
        <v>51535</v>
      </c>
      <c r="G190" s="275">
        <f t="shared" si="44"/>
        <v>7580</v>
      </c>
      <c r="H190" s="276">
        <f t="shared" si="44"/>
        <v>0</v>
      </c>
      <c r="I190" s="274">
        <f t="shared" si="44"/>
        <v>20572</v>
      </c>
      <c r="J190" s="275">
        <f t="shared" si="44"/>
        <v>7580</v>
      </c>
      <c r="K190" s="276">
        <f t="shared" si="44"/>
        <v>0</v>
      </c>
      <c r="L190" s="273">
        <f t="shared" si="44"/>
        <v>28152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51535</v>
      </c>
      <c r="F191" s="282">
        <f t="shared" si="45"/>
        <v>51535</v>
      </c>
      <c r="G191" s="283">
        <f t="shared" si="45"/>
        <v>0</v>
      </c>
      <c r="H191" s="284">
        <f t="shared" si="45"/>
        <v>0</v>
      </c>
      <c r="I191" s="282">
        <f t="shared" si="45"/>
        <v>20572</v>
      </c>
      <c r="J191" s="283">
        <f t="shared" si="45"/>
        <v>0</v>
      </c>
      <c r="K191" s="284">
        <f t="shared" si="45"/>
        <v>0</v>
      </c>
      <c r="L191" s="281">
        <f t="shared" si="45"/>
        <v>20572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7580</v>
      </c>
      <c r="F192" s="296">
        <f t="shared" si="45"/>
        <v>0</v>
      </c>
      <c r="G192" s="297">
        <f t="shared" si="45"/>
        <v>7580</v>
      </c>
      <c r="H192" s="298">
        <f t="shared" si="45"/>
        <v>0</v>
      </c>
      <c r="I192" s="296">
        <f t="shared" si="45"/>
        <v>0</v>
      </c>
      <c r="J192" s="297">
        <f t="shared" si="45"/>
        <v>7580</v>
      </c>
      <c r="K192" s="298">
        <f t="shared" si="45"/>
        <v>0</v>
      </c>
      <c r="L192" s="295">
        <f t="shared" si="45"/>
        <v>7580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9905</v>
      </c>
      <c r="F196" s="274">
        <f t="shared" si="46"/>
        <v>9905</v>
      </c>
      <c r="G196" s="275">
        <f t="shared" si="46"/>
        <v>0</v>
      </c>
      <c r="H196" s="276">
        <f t="shared" si="46"/>
        <v>0</v>
      </c>
      <c r="I196" s="274">
        <f t="shared" si="46"/>
        <v>4006</v>
      </c>
      <c r="J196" s="275">
        <f t="shared" si="46"/>
        <v>0</v>
      </c>
      <c r="K196" s="276">
        <f t="shared" si="46"/>
        <v>0</v>
      </c>
      <c r="L196" s="273">
        <f t="shared" si="46"/>
        <v>4006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6060</v>
      </c>
      <c r="F197" s="282">
        <f t="shared" si="47"/>
        <v>6060</v>
      </c>
      <c r="G197" s="283">
        <f t="shared" si="47"/>
        <v>0</v>
      </c>
      <c r="H197" s="284">
        <f t="shared" si="47"/>
        <v>0</v>
      </c>
      <c r="I197" s="282">
        <f t="shared" si="47"/>
        <v>2423</v>
      </c>
      <c r="J197" s="283">
        <f t="shared" si="47"/>
        <v>0</v>
      </c>
      <c r="K197" s="284">
        <f t="shared" si="47"/>
        <v>0</v>
      </c>
      <c r="L197" s="281">
        <f t="shared" si="47"/>
        <v>2423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2475</v>
      </c>
      <c r="F200" s="296">
        <f t="shared" si="47"/>
        <v>2475</v>
      </c>
      <c r="G200" s="297">
        <f t="shared" si="47"/>
        <v>0</v>
      </c>
      <c r="H200" s="298">
        <f t="shared" si="47"/>
        <v>0</v>
      </c>
      <c r="I200" s="296">
        <f t="shared" si="47"/>
        <v>1036</v>
      </c>
      <c r="J200" s="297">
        <f t="shared" si="47"/>
        <v>0</v>
      </c>
      <c r="K200" s="298">
        <f t="shared" si="47"/>
        <v>0</v>
      </c>
      <c r="L200" s="295">
        <f t="shared" si="47"/>
        <v>1036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1370</v>
      </c>
      <c r="F201" s="296">
        <f t="shared" si="47"/>
        <v>1370</v>
      </c>
      <c r="G201" s="297">
        <f t="shared" si="47"/>
        <v>0</v>
      </c>
      <c r="H201" s="298">
        <f t="shared" si="47"/>
        <v>0</v>
      </c>
      <c r="I201" s="296">
        <f t="shared" si="47"/>
        <v>547</v>
      </c>
      <c r="J201" s="297">
        <f t="shared" si="47"/>
        <v>0</v>
      </c>
      <c r="K201" s="298">
        <f t="shared" si="47"/>
        <v>0</v>
      </c>
      <c r="L201" s="295">
        <f t="shared" si="47"/>
        <v>547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903638</v>
      </c>
      <c r="F205" s="274">
        <f t="shared" si="48"/>
        <v>0</v>
      </c>
      <c r="G205" s="275">
        <f t="shared" si="48"/>
        <v>903638</v>
      </c>
      <c r="H205" s="276">
        <f t="shared" si="48"/>
        <v>0</v>
      </c>
      <c r="I205" s="274">
        <f t="shared" si="48"/>
        <v>0</v>
      </c>
      <c r="J205" s="275">
        <f t="shared" si="48"/>
        <v>133764</v>
      </c>
      <c r="K205" s="276">
        <f t="shared" si="48"/>
        <v>0</v>
      </c>
      <c r="L205" s="310">
        <f t="shared" si="48"/>
        <v>133764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828380</v>
      </c>
      <c r="F206" s="282">
        <f t="shared" si="49"/>
        <v>0</v>
      </c>
      <c r="G206" s="283">
        <f t="shared" si="49"/>
        <v>828380</v>
      </c>
      <c r="H206" s="284">
        <f t="shared" si="49"/>
        <v>0</v>
      </c>
      <c r="I206" s="282">
        <f t="shared" si="49"/>
        <v>0</v>
      </c>
      <c r="J206" s="283">
        <f t="shared" si="49"/>
        <v>128495</v>
      </c>
      <c r="K206" s="284">
        <f t="shared" si="49"/>
        <v>0</v>
      </c>
      <c r="L206" s="281">
        <f t="shared" si="49"/>
        <v>128495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129</v>
      </c>
      <c r="F210" s="296">
        <f t="shared" si="49"/>
        <v>0</v>
      </c>
      <c r="G210" s="297">
        <f t="shared" si="49"/>
        <v>129</v>
      </c>
      <c r="H210" s="298">
        <f t="shared" si="49"/>
        <v>0</v>
      </c>
      <c r="I210" s="296">
        <f t="shared" si="49"/>
        <v>0</v>
      </c>
      <c r="J210" s="297">
        <f t="shared" si="49"/>
        <v>129</v>
      </c>
      <c r="K210" s="298">
        <f t="shared" si="49"/>
        <v>0</v>
      </c>
      <c r="L210" s="295">
        <f t="shared" si="49"/>
        <v>129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5140</v>
      </c>
      <c r="F212" s="321">
        <f t="shared" si="49"/>
        <v>0</v>
      </c>
      <c r="G212" s="322">
        <f t="shared" si="49"/>
        <v>5140</v>
      </c>
      <c r="H212" s="323">
        <f t="shared" si="49"/>
        <v>0</v>
      </c>
      <c r="I212" s="321">
        <f t="shared" si="49"/>
        <v>0</v>
      </c>
      <c r="J212" s="322">
        <f t="shared" si="49"/>
        <v>5140</v>
      </c>
      <c r="K212" s="323">
        <f t="shared" si="49"/>
        <v>0</v>
      </c>
      <c r="L212" s="320">
        <f t="shared" si="49"/>
        <v>5140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69989</v>
      </c>
      <c r="F222" s="288">
        <f t="shared" si="50"/>
        <v>0</v>
      </c>
      <c r="G222" s="289">
        <f t="shared" si="50"/>
        <v>69989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972658</v>
      </c>
      <c r="F301" s="396">
        <f t="shared" si="77"/>
        <v>61440</v>
      </c>
      <c r="G301" s="397">
        <f t="shared" si="77"/>
        <v>911218</v>
      </c>
      <c r="H301" s="398">
        <f t="shared" si="77"/>
        <v>0</v>
      </c>
      <c r="I301" s="396">
        <f t="shared" si="77"/>
        <v>24578</v>
      </c>
      <c r="J301" s="397">
        <f t="shared" si="77"/>
        <v>141344</v>
      </c>
      <c r="K301" s="398">
        <f t="shared" si="77"/>
        <v>0</v>
      </c>
      <c r="L301" s="395">
        <f t="shared" si="77"/>
        <v>165922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Симеоновград</v>
      </c>
      <c r="C350" s="1781"/>
      <c r="D350" s="1782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Симеоновград</v>
      </c>
      <c r="C353" s="1784"/>
      <c r="D353" s="1785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2057</v>
      </c>
      <c r="F357" s="1837"/>
      <c r="G357" s="1837"/>
      <c r="H357" s="183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27</v>
      </c>
      <c r="J396" s="444">
        <f t="shared" si="88"/>
        <v>-68</v>
      </c>
      <c r="K396" s="445">
        <f>SUM(K397:K398)</f>
        <v>0</v>
      </c>
      <c r="L396" s="1378">
        <f t="shared" si="88"/>
        <v>-41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>
        <v>0</v>
      </c>
      <c r="G397" s="153"/>
      <c r="H397" s="154">
        <v>0</v>
      </c>
      <c r="I397" s="152">
        <v>27</v>
      </c>
      <c r="J397" s="153"/>
      <c r="K397" s="154">
        <v>0</v>
      </c>
      <c r="L397" s="1379">
        <f>I397+J397+K397</f>
        <v>27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>
        <v>-68</v>
      </c>
      <c r="K398" s="175">
        <v>0</v>
      </c>
      <c r="L398" s="1383">
        <f>I398+J398+K398</f>
        <v>-68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561167</v>
      </c>
      <c r="F399" s="459">
        <f t="shared" si="89"/>
        <v>61440</v>
      </c>
      <c r="G399" s="473">
        <f t="shared" si="89"/>
        <v>499727</v>
      </c>
      <c r="H399" s="445">
        <f>SUM(H400:H401)</f>
        <v>0</v>
      </c>
      <c r="I399" s="459">
        <f t="shared" si="89"/>
        <v>11750</v>
      </c>
      <c r="J399" s="444">
        <f t="shared" si="89"/>
        <v>91814</v>
      </c>
      <c r="K399" s="445">
        <f>SUM(K400:K401)</f>
        <v>0</v>
      </c>
      <c r="L399" s="1378">
        <f t="shared" si="89"/>
        <v>103564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561167</v>
      </c>
      <c r="F400" s="158">
        <v>61440</v>
      </c>
      <c r="G400" s="159">
        <v>499727</v>
      </c>
      <c r="H400" s="154">
        <v>0</v>
      </c>
      <c r="I400" s="158">
        <v>11750</v>
      </c>
      <c r="J400" s="159">
        <v>91814</v>
      </c>
      <c r="K400" s="154">
        <v>0</v>
      </c>
      <c r="L400" s="1379">
        <f>I400+J400+K400</f>
        <v>103564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561167</v>
      </c>
      <c r="F419" s="495">
        <f t="shared" si="95"/>
        <v>61440</v>
      </c>
      <c r="G419" s="496">
        <f t="shared" si="95"/>
        <v>499727</v>
      </c>
      <c r="H419" s="515">
        <f>SUM(H361,H375,H383,H388,H391,H396,H399,H402,H405,H406,H409,H412)</f>
        <v>0</v>
      </c>
      <c r="I419" s="495">
        <f t="shared" si="95"/>
        <v>11777</v>
      </c>
      <c r="J419" s="496">
        <f t="shared" si="95"/>
        <v>91746</v>
      </c>
      <c r="K419" s="515">
        <f>SUM(K361,K375,K383,K388,K391,K396,K399,K402,K405,K406,K409,K412)</f>
        <v>0</v>
      </c>
      <c r="L419" s="512">
        <f t="shared" si="95"/>
        <v>103523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0</v>
      </c>
      <c r="F424" s="483">
        <v>0</v>
      </c>
      <c r="G424" s="484"/>
      <c r="H424" s="1475">
        <v>0</v>
      </c>
      <c r="I424" s="483">
        <v>12801</v>
      </c>
      <c r="J424" s="484">
        <v>-91746</v>
      </c>
      <c r="K424" s="1475">
        <v>0</v>
      </c>
      <c r="L424" s="1378">
        <f>I424+J424+K424</f>
        <v>-78945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12801</v>
      </c>
      <c r="J429" s="514">
        <f t="shared" si="97"/>
        <v>-91746</v>
      </c>
      <c r="K429" s="515">
        <f t="shared" si="97"/>
        <v>0</v>
      </c>
      <c r="L429" s="512">
        <f t="shared" si="97"/>
        <v>-78945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Симеоновград</v>
      </c>
      <c r="C435" s="1781"/>
      <c r="D435" s="1782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Симеоновград</v>
      </c>
      <c r="C438" s="1784"/>
      <c r="D438" s="1785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2059</v>
      </c>
      <c r="F442" s="1825"/>
      <c r="G442" s="1825"/>
      <c r="H442" s="182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-411491</v>
      </c>
      <c r="F445" s="546">
        <f t="shared" si="99"/>
        <v>0</v>
      </c>
      <c r="G445" s="547">
        <f t="shared" si="99"/>
        <v>-411491</v>
      </c>
      <c r="H445" s="548">
        <f t="shared" si="99"/>
        <v>0</v>
      </c>
      <c r="I445" s="546">
        <f t="shared" si="99"/>
        <v>0</v>
      </c>
      <c r="J445" s="547">
        <f t="shared" si="99"/>
        <v>-141344</v>
      </c>
      <c r="K445" s="548">
        <f t="shared" si="99"/>
        <v>0</v>
      </c>
      <c r="L445" s="549">
        <f t="shared" si="99"/>
        <v>-141344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411491</v>
      </c>
      <c r="F446" s="553">
        <f t="shared" si="100"/>
        <v>0</v>
      </c>
      <c r="G446" s="554">
        <f t="shared" si="100"/>
        <v>411491</v>
      </c>
      <c r="H446" s="555">
        <f t="shared" si="100"/>
        <v>0</v>
      </c>
      <c r="I446" s="553">
        <f t="shared" si="100"/>
        <v>0</v>
      </c>
      <c r="J446" s="554">
        <f t="shared" si="100"/>
        <v>141344</v>
      </c>
      <c r="K446" s="555">
        <f t="shared" si="100"/>
        <v>0</v>
      </c>
      <c r="L446" s="556">
        <f>+L597</f>
        <v>141344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Симеоновград</v>
      </c>
      <c r="C451" s="1781"/>
      <c r="D451" s="1782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Симеоновград</v>
      </c>
      <c r="C454" s="1784"/>
      <c r="D454" s="1785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2061</v>
      </c>
      <c r="F458" s="1828"/>
      <c r="G458" s="1828"/>
      <c r="H458" s="182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411491</v>
      </c>
      <c r="F566" s="587">
        <f t="shared" si="128"/>
        <v>0</v>
      </c>
      <c r="G566" s="580">
        <f t="shared" si="128"/>
        <v>411491</v>
      </c>
      <c r="H566" s="581">
        <f>SUM(H567:H585)</f>
        <v>0</v>
      </c>
      <c r="I566" s="587">
        <f t="shared" si="128"/>
        <v>0</v>
      </c>
      <c r="J566" s="580">
        <f t="shared" si="128"/>
        <v>141344</v>
      </c>
      <c r="K566" s="581">
        <f t="shared" si="128"/>
        <v>0</v>
      </c>
      <c r="L566" s="578">
        <f t="shared" si="128"/>
        <v>141344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411491</v>
      </c>
      <c r="F567" s="152"/>
      <c r="G567" s="153">
        <v>411491</v>
      </c>
      <c r="H567" s="584">
        <v>0</v>
      </c>
      <c r="I567" s="152"/>
      <c r="J567" s="153">
        <v>411491</v>
      </c>
      <c r="K567" s="584">
        <v>0</v>
      </c>
      <c r="L567" s="1379">
        <f t="shared" si="116"/>
        <v>411491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-270147</v>
      </c>
      <c r="K573" s="1623">
        <v>0</v>
      </c>
      <c r="L573" s="1393">
        <f t="shared" si="129"/>
        <v>-270147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411491</v>
      </c>
      <c r="F597" s="663">
        <f t="shared" si="133"/>
        <v>0</v>
      </c>
      <c r="G597" s="664">
        <f t="shared" si="133"/>
        <v>411491</v>
      </c>
      <c r="H597" s="665">
        <f t="shared" si="133"/>
        <v>0</v>
      </c>
      <c r="I597" s="663">
        <f t="shared" si="133"/>
        <v>0</v>
      </c>
      <c r="J597" s="664">
        <f t="shared" si="133"/>
        <v>141344</v>
      </c>
      <c r="K597" s="666">
        <f t="shared" si="133"/>
        <v>0</v>
      </c>
      <c r="L597" s="662">
        <f t="shared" si="133"/>
        <v>141344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0" t="str">
        <f>$B$9</f>
        <v>Симеоновград</v>
      </c>
      <c r="C623" s="1781"/>
      <c r="D623" s="1782"/>
      <c r="E623" s="115">
        <f>$E$9</f>
        <v>43466</v>
      </c>
      <c r="F623" s="226">
        <f>$F$9</f>
        <v>43524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Симеоновград</v>
      </c>
      <c r="C626" s="1840"/>
      <c r="D626" s="1841"/>
      <c r="E626" s="410" t="s">
        <v>890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4" t="s">
        <v>2050</v>
      </c>
      <c r="F630" s="1825"/>
      <c r="G630" s="1825"/>
      <c r="H630" s="1826"/>
      <c r="I630" s="1833" t="s">
        <v>2051</v>
      </c>
      <c r="J630" s="1834"/>
      <c r="K630" s="1834"/>
      <c r="L630" s="183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>
        <f>VLOOKUP(D633,OP_LIST2,2,FALSE)</f>
        <v>98315</v>
      </c>
      <c r="D633" s="1452" t="s">
        <v>1239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5524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5524</v>
      </c>
      <c r="D635" s="1452" t="s">
        <v>556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3" t="s">
        <v>744</v>
      </c>
      <c r="D637" s="1814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>SUM(E641:E645)</f>
        <v>7580</v>
      </c>
      <c r="F640" s="274">
        <f>SUM(F641:F645)</f>
        <v>0</v>
      </c>
      <c r="G640" s="275">
        <f>SUM(G641:G645)</f>
        <v>7580</v>
      </c>
      <c r="H640" s="276">
        <f>SUM(H641:H645)</f>
        <v>0</v>
      </c>
      <c r="I640" s="274">
        <f>SUM(I641:I645)</f>
        <v>0</v>
      </c>
      <c r="J640" s="275">
        <f>SUM(J641:J645)</f>
        <v>7580</v>
      </c>
      <c r="K640" s="276">
        <f>SUM(K641:K645)</f>
        <v>0</v>
      </c>
      <c r="L640" s="273">
        <f>SUM(L641:L645)</f>
        <v>7580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7580</v>
      </c>
      <c r="F642" s="158"/>
      <c r="G642" s="159">
        <v>7580</v>
      </c>
      <c r="H642" s="1420"/>
      <c r="I642" s="158"/>
      <c r="J642" s="159">
        <v>7580</v>
      </c>
      <c r="K642" s="1420"/>
      <c r="L642" s="295">
        <f>I642+J642+K642</f>
        <v>7580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910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>SUM(E656:E672)</f>
        <v>903638</v>
      </c>
      <c r="F655" s="274">
        <f>SUM(F656:F672)</f>
        <v>0</v>
      </c>
      <c r="G655" s="275">
        <f>SUM(G656:G672)</f>
        <v>903638</v>
      </c>
      <c r="H655" s="276">
        <f>SUM(H656:H672)</f>
        <v>0</v>
      </c>
      <c r="I655" s="274">
        <f>SUM(I656:I672)</f>
        <v>0</v>
      </c>
      <c r="J655" s="275">
        <f>SUM(J656:J672)</f>
        <v>133764</v>
      </c>
      <c r="K655" s="276">
        <f>SUM(K656:K672)</f>
        <v>0</v>
      </c>
      <c r="L655" s="310">
        <f>SUM(L656:L672)</f>
        <v>133764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828380</v>
      </c>
      <c r="F656" s="152"/>
      <c r="G656" s="153">
        <v>828380</v>
      </c>
      <c r="H656" s="1418"/>
      <c r="I656" s="152"/>
      <c r="J656" s="153">
        <v>128495</v>
      </c>
      <c r="K656" s="1418"/>
      <c r="L656" s="281">
        <f>I656+J656+K656</f>
        <v>128495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129</v>
      </c>
      <c r="F660" s="158"/>
      <c r="G660" s="159">
        <v>129</v>
      </c>
      <c r="H660" s="1420"/>
      <c r="I660" s="158"/>
      <c r="J660" s="159">
        <v>129</v>
      </c>
      <c r="K660" s="1420"/>
      <c r="L660" s="295">
        <f>I660+J660+K660</f>
        <v>129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5140</v>
      </c>
      <c r="F662" s="454"/>
      <c r="G662" s="455">
        <v>5140</v>
      </c>
      <c r="H662" s="1428"/>
      <c r="I662" s="454"/>
      <c r="J662" s="455">
        <v>5140</v>
      </c>
      <c r="K662" s="1428"/>
      <c r="L662" s="320">
        <f>I662+J662+K662</f>
        <v>5140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69989</v>
      </c>
      <c r="F672" s="173"/>
      <c r="G672" s="174">
        <v>69989</v>
      </c>
      <c r="H672" s="1421"/>
      <c r="I672" s="173"/>
      <c r="J672" s="174">
        <v>0</v>
      </c>
      <c r="K672" s="1421"/>
      <c r="L672" s="287">
        <f>I672+J672+K672</f>
        <v>0</v>
      </c>
      <c r="M672" s="12">
        <f>(IF($E672&lt;&gt;0,$M$2,IF($L672&lt;&gt;0,$M$2,"")))</f>
        <v>1</v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1659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911218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911218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141344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141344</v>
      </c>
      <c r="M752" s="12">
        <f>(IF($E752&lt;&gt;0,$M$2,IF($L752&lt;&gt;0,$M$2,"")))</f>
        <v>1</v>
      </c>
      <c r="N752" s="73" t="str">
        <f>LEFT(C634,1)</f>
        <v>5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8" t="str">
        <f>$B$7</f>
        <v>ОТЧЕТНИ ДАННИ ПО ЕБК ЗА СМЕТКИТЕ ЗА СРЕДСТВАТА ОТ ЕВРОПЕЙСКИЯ СЪЮЗ - КСФ</v>
      </c>
      <c r="C759" s="1789"/>
      <c r="D759" s="178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0" t="str">
        <f>$B$9</f>
        <v>Симеоновград</v>
      </c>
      <c r="C761" s="1781"/>
      <c r="D761" s="1782"/>
      <c r="E761" s="115">
        <f>$E$9</f>
        <v>43466</v>
      </c>
      <c r="F761" s="226">
        <f>$F$9</f>
        <v>43524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39" t="str">
        <f>$B$12</f>
        <v>Симеоновград</v>
      </c>
      <c r="C764" s="1840"/>
      <c r="D764" s="1841"/>
      <c r="E764" s="410" t="s">
        <v>890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24" t="s">
        <v>2050</v>
      </c>
      <c r="F768" s="1825"/>
      <c r="G768" s="1825"/>
      <c r="H768" s="1826"/>
      <c r="I768" s="1833" t="s">
        <v>2051</v>
      </c>
      <c r="J768" s="1834"/>
      <c r="K768" s="1834"/>
      <c r="L768" s="183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664" t="str">
        <f>VLOOKUP(D771,OP_LIST2,2,FALSE)</f>
        <v>98301</v>
      </c>
      <c r="D771" s="1452" t="s">
        <v>653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5532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5532</v>
      </c>
      <c r="D773" s="1452" t="s">
        <v>564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3" t="s">
        <v>744</v>
      </c>
      <c r="D775" s="181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9" t="s">
        <v>747</v>
      </c>
      <c r="D778" s="1810"/>
      <c r="E778" s="273">
        <f>SUM(E779:E783)</f>
        <v>51535</v>
      </c>
      <c r="F778" s="274">
        <f>SUM(F779:F783)</f>
        <v>51535</v>
      </c>
      <c r="G778" s="275">
        <f>SUM(G779:G783)</f>
        <v>0</v>
      </c>
      <c r="H778" s="276">
        <f>SUM(H779:H783)</f>
        <v>0</v>
      </c>
      <c r="I778" s="274">
        <f>SUM(I779:I783)</f>
        <v>20572</v>
      </c>
      <c r="J778" s="275">
        <f>SUM(J779:J783)</f>
        <v>0</v>
      </c>
      <c r="K778" s="276">
        <f>SUM(K779:K783)</f>
        <v>0</v>
      </c>
      <c r="L778" s="273">
        <f>SUM(L779:L783)</f>
        <v>20572</v>
      </c>
      <c r="M778" s="12">
        <f>(IF($E778&lt;&gt;0,$M$2,IF($L778&lt;&gt;0,$M$2,"")))</f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51535</v>
      </c>
      <c r="F779" s="152">
        <v>51535</v>
      </c>
      <c r="G779" s="153"/>
      <c r="H779" s="1418"/>
      <c r="I779" s="152">
        <v>20572</v>
      </c>
      <c r="J779" s="153"/>
      <c r="K779" s="1418"/>
      <c r="L779" s="281">
        <f>I779+J779+K779</f>
        <v>20572</v>
      </c>
      <c r="M779" s="12">
        <f>(IF($E779&lt;&gt;0,$M$2,IF($L779&lt;&gt;0,$M$2,"")))</f>
        <v>1</v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1" t="s">
        <v>194</v>
      </c>
      <c r="D784" s="1812"/>
      <c r="E784" s="273">
        <f>SUM(E785:E791)</f>
        <v>9905</v>
      </c>
      <c r="F784" s="274">
        <f>SUM(F785:F791)</f>
        <v>9905</v>
      </c>
      <c r="G784" s="275">
        <f>SUM(G785:G791)</f>
        <v>0</v>
      </c>
      <c r="H784" s="276">
        <f>SUM(H785:H791)</f>
        <v>0</v>
      </c>
      <c r="I784" s="274">
        <f>SUM(I785:I791)</f>
        <v>4006</v>
      </c>
      <c r="J784" s="275">
        <f>SUM(J785:J791)</f>
        <v>0</v>
      </c>
      <c r="K784" s="276">
        <f>SUM(K785:K791)</f>
        <v>0</v>
      </c>
      <c r="L784" s="273">
        <f>SUM(L785:L791)</f>
        <v>4006</v>
      </c>
      <c r="M784" s="12">
        <f>(IF($E784&lt;&gt;0,$M$2,IF($L784&lt;&gt;0,$M$2,"")))</f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6060</v>
      </c>
      <c r="F785" s="152">
        <v>6060</v>
      </c>
      <c r="G785" s="153"/>
      <c r="H785" s="1418"/>
      <c r="I785" s="152">
        <v>2423</v>
      </c>
      <c r="J785" s="153"/>
      <c r="K785" s="1418"/>
      <c r="L785" s="281">
        <f>I785+J785+K785</f>
        <v>2423</v>
      </c>
      <c r="M785" s="12">
        <f>(IF($E785&lt;&gt;0,$M$2,IF($L785&lt;&gt;0,$M$2,"")))</f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2475</v>
      </c>
      <c r="F788" s="158">
        <v>2475</v>
      </c>
      <c r="G788" s="159"/>
      <c r="H788" s="1420"/>
      <c r="I788" s="158">
        <v>1036</v>
      </c>
      <c r="J788" s="159"/>
      <c r="K788" s="1420"/>
      <c r="L788" s="295">
        <f>I788+J788+K788</f>
        <v>1036</v>
      </c>
      <c r="M788" s="12">
        <f>(IF($E788&lt;&gt;0,$M$2,IF($L788&lt;&gt;0,$M$2,"")))</f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1370</v>
      </c>
      <c r="F789" s="158">
        <v>1370</v>
      </c>
      <c r="G789" s="159"/>
      <c r="H789" s="1420"/>
      <c r="I789" s="158">
        <v>547</v>
      </c>
      <c r="J789" s="159"/>
      <c r="K789" s="1420"/>
      <c r="L789" s="295">
        <f>I789+J789+K789</f>
        <v>547</v>
      </c>
      <c r="M789" s="12">
        <f>(IF($E789&lt;&gt;0,$M$2,IF($L789&lt;&gt;0,$M$2,"")))</f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7" t="s">
        <v>199</v>
      </c>
      <c r="D792" s="1808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9" t="s">
        <v>200</v>
      </c>
      <c r="D793" s="1810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3" t="s">
        <v>272</v>
      </c>
      <c r="D811" s="1804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3" t="s">
        <v>722</v>
      </c>
      <c r="D815" s="1804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3" t="s">
        <v>219</v>
      </c>
      <c r="D821" s="1804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3" t="s">
        <v>221</v>
      </c>
      <c r="D824" s="1804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5" t="s">
        <v>222</v>
      </c>
      <c r="D825" s="1806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5" t="s">
        <v>223</v>
      </c>
      <c r="D826" s="1806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5" t="s">
        <v>1662</v>
      </c>
      <c r="D827" s="1806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3" t="s">
        <v>224</v>
      </c>
      <c r="D828" s="1804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1659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3" t="s">
        <v>234</v>
      </c>
      <c r="D843" s="1804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3" t="s">
        <v>235</v>
      </c>
      <c r="D844" s="1804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3" t="s">
        <v>236</v>
      </c>
      <c r="D845" s="1804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3" t="s">
        <v>237</v>
      </c>
      <c r="D846" s="1804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3" t="s">
        <v>1663</v>
      </c>
      <c r="D853" s="1804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3" t="s">
        <v>1660</v>
      </c>
      <c r="D857" s="1804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3" t="s">
        <v>1661</v>
      </c>
      <c r="D858" s="1804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5" t="s">
        <v>247</v>
      </c>
      <c r="D859" s="1806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3" t="s">
        <v>273</v>
      </c>
      <c r="D860" s="1804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1" t="s">
        <v>248</v>
      </c>
      <c r="D863" s="1802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1" t="s">
        <v>249</v>
      </c>
      <c r="D864" s="1802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1" t="s">
        <v>625</v>
      </c>
      <c r="D872" s="1802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1" t="s">
        <v>685</v>
      </c>
      <c r="D875" s="1802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3" t="s">
        <v>686</v>
      </c>
      <c r="D876" s="1804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6" t="s">
        <v>915</v>
      </c>
      <c r="D881" s="1797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8" t="s">
        <v>694</v>
      </c>
      <c r="D885" s="1799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8" t="s">
        <v>694</v>
      </c>
      <c r="D886" s="1799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61440</v>
      </c>
      <c r="F890" s="396">
        <f>SUM(F775,F778,F784,F792,F793,F811,F815,F821,F824,F825,F826,F827,F828,F837,F843,F844,F845,F846,F853,F857,F858,F859,F860,F863,F864,F872,F875,F876,F881)+F886</f>
        <v>61440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24578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24578</v>
      </c>
      <c r="M890" s="12">
        <f>(IF($E890&lt;&gt;0,$M$2,IF($L890&lt;&gt;0,$M$2,"")))</f>
        <v>1</v>
      </c>
      <c r="N890" s="73" t="str">
        <f>LEFT(C772,1)</f>
        <v>5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2067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2068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2050</v>
      </c>
      <c r="M23" s="1825"/>
      <c r="N23" s="1825"/>
      <c r="O23" s="1826"/>
      <c r="P23" s="1833" t="s">
        <v>2051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